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S - 2009" sheetId="1" r:id="rId1"/>
    <sheet name="Number Proof" sheetId="2" r:id="rId2"/>
  </sheets>
  <definedNames>
    <definedName name="_xlnm.Print_Area" localSheetId="0">'IS - 2009'!$A$1:$P$56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<sst xmlns="http://schemas.openxmlformats.org/spreadsheetml/2006/main" count="65" uniqueCount="62">
  <si>
    <t>Water</t>
  </si>
  <si>
    <t>Maintenance</t>
  </si>
  <si>
    <t>System</t>
  </si>
  <si>
    <t>Park and</t>
  </si>
  <si>
    <t>Management</t>
  </si>
  <si>
    <t>and Operations</t>
  </si>
  <si>
    <t>Upgrade</t>
  </si>
  <si>
    <t>Moorage</t>
  </si>
  <si>
    <t>Common Area</t>
  </si>
  <si>
    <t>and General</t>
  </si>
  <si>
    <t>Total</t>
  </si>
  <si>
    <t>REVENUES</t>
  </si>
  <si>
    <t>Assessments and fees</t>
  </si>
  <si>
    <t>Donations</t>
  </si>
  <si>
    <t>Interest</t>
  </si>
  <si>
    <t>Fees and misc</t>
  </si>
  <si>
    <t>TOTAL REVENUE</t>
  </si>
  <si>
    <t>EXPENSES</t>
  </si>
  <si>
    <t>Bank charges</t>
  </si>
  <si>
    <t>Construction, cost of</t>
  </si>
  <si>
    <t>Construction, reclass to fixed asset</t>
  </si>
  <si>
    <t>Depreciation</t>
  </si>
  <si>
    <t>Insurance</t>
  </si>
  <si>
    <t>Office supplies and expense</t>
  </si>
  <si>
    <t>Postage</t>
  </si>
  <si>
    <t>Printing</t>
  </si>
  <si>
    <t>Professional services</t>
  </si>
  <si>
    <t>Repairs and maintanance</t>
  </si>
  <si>
    <t>Salaries</t>
  </si>
  <si>
    <t>Supplies</t>
  </si>
  <si>
    <t>Taxes and licenses</t>
  </si>
  <si>
    <t>Taxes, payroll</t>
  </si>
  <si>
    <t>Taxes, property</t>
  </si>
  <si>
    <t>Telephone</t>
  </si>
  <si>
    <t>Travel</t>
  </si>
  <si>
    <t>Utilities</t>
  </si>
  <si>
    <t>TOTAL EXPENSES</t>
  </si>
  <si>
    <t>OVER EXPENSES</t>
  </si>
  <si>
    <t>Budget</t>
  </si>
  <si>
    <t>Equipment improvements</t>
  </si>
  <si>
    <t>Difference</t>
  </si>
  <si>
    <t>From statement</t>
  </si>
  <si>
    <t>total from above</t>
  </si>
  <si>
    <t>revenue</t>
  </si>
  <si>
    <t>general adm</t>
  </si>
  <si>
    <t>wmo</t>
  </si>
  <si>
    <t>facilities</t>
  </si>
  <si>
    <t>OF REVENUES</t>
  </si>
  <si>
    <t>EXCESS (DEFICIENCY)</t>
  </si>
  <si>
    <t>Funds to reserves</t>
  </si>
  <si>
    <t>PROFIT &amp; LOSS STATEMENT FOR JANUARY 1, 2009 TO DECEMBER 31, 2009  --   ACTUAL AND BUDGET</t>
  </si>
  <si>
    <t>PARADISE SHORES ESTATES</t>
  </si>
  <si>
    <t>CASH BALANCES AT DECEMBER 31, 2009</t>
  </si>
  <si>
    <t>Checking - General Funds</t>
  </si>
  <si>
    <t>Checking - Water System (M&amp;O)</t>
  </si>
  <si>
    <t>Checking - Water Upgrade</t>
  </si>
  <si>
    <t>Playground Funds</t>
  </si>
  <si>
    <t>Savings - General</t>
  </si>
  <si>
    <t>Savings - CD - Water</t>
  </si>
  <si>
    <t>(At 12/31/2009, $27,930 of the funds in Checking - General is for prepaid collections for 2010 dues.)</t>
  </si>
  <si>
    <t>(At 12/31/2009, $4,980 of the funds in Checking - Water System/M&amp;O is for prepaid collections for 2010 invoice.)</t>
  </si>
  <si>
    <r>
      <t>Note:</t>
    </r>
    <r>
      <rPr>
        <sz val="11"/>
        <rFont val="CG Times"/>
        <family val="1"/>
      </rPr>
      <t xml:space="preserve">  There is an outstanding Water Upgrade invoice that is outstanding as of 12/31/2009 and not reflected in the above profit/loss statement for 2009.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</si>
</sst>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 d\,\ yyyy;@"/>
    <numFmt numFmtId="169" formatCode="_(* #,##0.0_);_(* \(#,##0.0\);_(* &quot;-&quot;??_);_(@_)"/>
    <numFmt numFmtId="170" formatCode="_(&quot;$&quot;* #,##0.0_);_(&quot;$&quot;* \(#,##0.0\);_(&quot;$&quot;* &quot;-&quot;??_);_(@_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G Times"/>
      <family val="1"/>
    </font>
    <font>
      <sz val="12"/>
      <name val="CG Times"/>
      <family val="1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0"/>
    </font>
    <font>
      <b/>
      <sz val="14"/>
      <name val="CG Times"/>
      <family val="1"/>
    </font>
    <font>
      <i/>
      <sz val="11"/>
      <name val="CG Times"/>
      <family val="0"/>
    </font>
    <font>
      <i/>
      <sz val="10"/>
      <name val="CG Times"/>
      <family val="0"/>
    </font>
    <font>
      <b/>
      <sz val="11"/>
      <name val="CG Times"/>
      <family val="1"/>
    </font>
    <font>
      <sz val="11"/>
      <name val="CG 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0" fontId="19" fillId="0" borderId="0" xfId="60" applyFont="1">
      <alignment/>
      <protection/>
    </xf>
    <xf numFmtId="166" fontId="20" fillId="0" borderId="0" xfId="46" applyNumberFormat="1" applyFont="1" applyAlignment="1">
      <alignment/>
    </xf>
    <xf numFmtId="166" fontId="20" fillId="0" borderId="0" xfId="46" applyNumberFormat="1" applyFont="1" applyAlignment="1">
      <alignment/>
    </xf>
    <xf numFmtId="167" fontId="20" fillId="0" borderId="0" xfId="42" applyNumberFormat="1" applyFont="1" applyAlignment="1">
      <alignment/>
    </xf>
    <xf numFmtId="167" fontId="20" fillId="0" borderId="0" xfId="42" applyNumberFormat="1" applyFont="1" applyAlignment="1">
      <alignment/>
    </xf>
    <xf numFmtId="167" fontId="20" fillId="0" borderId="10" xfId="42" applyNumberFormat="1" applyFont="1" applyBorder="1" applyAlignment="1">
      <alignment/>
    </xf>
    <xf numFmtId="167" fontId="20" fillId="0" borderId="10" xfId="42" applyNumberFormat="1" applyFont="1" applyBorder="1" applyAlignment="1">
      <alignment/>
    </xf>
    <xf numFmtId="0" fontId="19" fillId="0" borderId="0" xfId="60" applyFont="1" applyAlignment="1">
      <alignment horizontal="right"/>
      <protection/>
    </xf>
    <xf numFmtId="0" fontId="19" fillId="0" borderId="0" xfId="60" applyFont="1" applyAlignment="1">
      <alignment horizontal="right"/>
      <protection/>
    </xf>
    <xf numFmtId="166" fontId="20" fillId="0" borderId="11" xfId="46" applyNumberFormat="1" applyFont="1" applyBorder="1" applyAlignment="1">
      <alignment/>
    </xf>
    <xf numFmtId="0" fontId="20" fillId="0" borderId="0" xfId="60" applyFont="1" applyFill="1">
      <alignment/>
      <protection/>
    </xf>
    <xf numFmtId="167" fontId="20" fillId="0" borderId="0" xfId="42" applyNumberFormat="1" applyFont="1" applyFill="1" applyAlignment="1">
      <alignment/>
    </xf>
    <xf numFmtId="43" fontId="20" fillId="0" borderId="0" xfId="42" applyFont="1" applyAlignment="1">
      <alignment/>
    </xf>
    <xf numFmtId="166" fontId="20" fillId="0" borderId="0" xfId="42" applyNumberFormat="1" applyFont="1" applyAlignment="1">
      <alignment/>
    </xf>
    <xf numFmtId="166" fontId="20" fillId="0" borderId="0" xfId="42" applyNumberFormat="1" applyFont="1" applyAlignment="1">
      <alignment/>
    </xf>
    <xf numFmtId="166" fontId="20" fillId="0" borderId="0" xfId="42" applyNumberFormat="1" applyFont="1" applyAlignment="1">
      <alignment horizontal="left" indent="2"/>
    </xf>
    <xf numFmtId="166" fontId="20" fillId="0" borderId="0" xfId="46" applyNumberFormat="1" applyFont="1" applyFill="1" applyAlignment="1">
      <alignment/>
    </xf>
    <xf numFmtId="167" fontId="21" fillId="0" borderId="0" xfId="42" applyNumberFormat="1" applyFont="1" applyAlignment="1">
      <alignment/>
    </xf>
    <xf numFmtId="167" fontId="21" fillId="0" borderId="12" xfId="42" applyNumberFormat="1" applyFont="1" applyBorder="1" applyAlignment="1">
      <alignment/>
    </xf>
    <xf numFmtId="167" fontId="21" fillId="0" borderId="0" xfId="42" applyNumberFormat="1" applyFont="1" applyBorder="1" applyAlignment="1">
      <alignment/>
    </xf>
    <xf numFmtId="167" fontId="20" fillId="0" borderId="0" xfId="42" applyNumberFormat="1" applyFont="1" applyBorder="1" applyAlignment="1">
      <alignment/>
    </xf>
    <xf numFmtId="167" fontId="20" fillId="0" borderId="0" xfId="42" applyNumberFormat="1" applyFont="1" applyBorder="1" applyAlignment="1">
      <alignment/>
    </xf>
    <xf numFmtId="0" fontId="20" fillId="0" borderId="13" xfId="60" applyFont="1" applyBorder="1">
      <alignment/>
      <protection/>
    </xf>
    <xf numFmtId="167" fontId="20" fillId="0" borderId="13" xfId="42" applyNumberFormat="1" applyFont="1" applyBorder="1" applyAlignment="1">
      <alignment/>
    </xf>
    <xf numFmtId="167" fontId="20" fillId="0" borderId="12" xfId="42" applyNumberFormat="1" applyFont="1" applyBorder="1" applyAlignment="1">
      <alignment/>
    </xf>
    <xf numFmtId="0" fontId="19" fillId="0" borderId="0" xfId="60" applyFont="1" applyAlignment="1">
      <alignment horizontal="left" indent="1"/>
      <protection/>
    </xf>
    <xf numFmtId="0" fontId="19" fillId="0" borderId="0" xfId="60" applyFont="1" applyAlignment="1">
      <alignment horizontal="center"/>
      <protection/>
    </xf>
    <xf numFmtId="0" fontId="20" fillId="0" borderId="0" xfId="60" applyFont="1">
      <alignment/>
      <protection/>
    </xf>
    <xf numFmtId="0" fontId="19" fillId="0" borderId="10" xfId="60" applyFont="1" applyBorder="1" applyAlignment="1">
      <alignment horizontal="center"/>
      <protection/>
    </xf>
    <xf numFmtId="0" fontId="22" fillId="0" borderId="0" xfId="0" applyFont="1" applyBorder="1" applyAlignment="1">
      <alignment/>
    </xf>
    <xf numFmtId="0" fontId="20" fillId="0" borderId="0" xfId="60" applyFont="1" applyBorder="1">
      <alignment/>
      <protection/>
    </xf>
    <xf numFmtId="0" fontId="23" fillId="0" borderId="0" xfId="0" applyFont="1" applyBorder="1" applyAlignment="1">
      <alignment/>
    </xf>
    <xf numFmtId="0" fontId="25" fillId="0" borderId="0" xfId="60" applyFont="1">
      <alignment/>
      <protection/>
    </xf>
    <xf numFmtId="0" fontId="24" fillId="0" borderId="0" xfId="0" applyFont="1" applyBorder="1" applyAlignment="1">
      <alignment/>
    </xf>
    <xf numFmtId="0" fontId="26" fillId="0" borderId="0" xfId="60" applyFont="1">
      <alignment/>
      <protection/>
    </xf>
    <xf numFmtId="0" fontId="27" fillId="0" borderId="0" xfId="60" applyFont="1">
      <alignment/>
      <protection/>
    </xf>
    <xf numFmtId="0" fontId="24" fillId="0" borderId="13" xfId="0" applyFont="1" applyBorder="1" applyAlignment="1">
      <alignment horizontal="center"/>
    </xf>
    <xf numFmtId="0" fontId="28" fillId="0" borderId="0" xfId="60" applyFo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_Equity - Review of difference on audited FS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view="pageBreakPreview" zoomScale="85" zoomScaleNormal="70" zoomScaleSheetLayoutView="85" workbookViewId="0" topLeftCell="C41">
      <selection activeCell="B56" sqref="B56"/>
    </sheetView>
  </sheetViews>
  <sheetFormatPr defaultColWidth="8.8515625" defaultRowHeight="15" customHeight="1"/>
  <cols>
    <col min="1" max="1" width="2.00390625" style="2" customWidth="1"/>
    <col min="2" max="2" width="26.421875" style="2" customWidth="1"/>
    <col min="3" max="3" width="1.7109375" style="2" customWidth="1"/>
    <col min="4" max="4" width="11.7109375" style="2" customWidth="1"/>
    <col min="5" max="5" width="1.7109375" style="2" customWidth="1"/>
    <col min="6" max="6" width="12.28125" style="2" customWidth="1"/>
    <col min="7" max="7" width="1.7109375" style="2" customWidth="1"/>
    <col min="8" max="8" width="11.7109375" style="2" customWidth="1"/>
    <col min="9" max="9" width="1.7109375" style="2" customWidth="1"/>
    <col min="10" max="10" width="12.57421875" style="2" customWidth="1"/>
    <col min="11" max="11" width="1.7109375" style="2" customWidth="1"/>
    <col min="12" max="12" width="12.57421875" style="2" customWidth="1"/>
    <col min="13" max="13" width="1.7109375" style="2" customWidth="1"/>
    <col min="14" max="14" width="13.421875" style="2" customWidth="1"/>
    <col min="15" max="15" width="1.7109375" style="2" customWidth="1"/>
    <col min="16" max="16" width="13.421875" style="2" customWidth="1"/>
    <col min="17" max="16384" width="8.8515625" style="2" customWidth="1"/>
  </cols>
  <sheetData>
    <row r="1" spans="1:16" ht="1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ht="15" customHeight="1">
      <c r="A3" s="35" t="s">
        <v>52</v>
      </c>
    </row>
    <row r="5" spans="2:6" ht="15" customHeight="1">
      <c r="B5" s="2" t="s">
        <v>53</v>
      </c>
      <c r="D5" s="7">
        <v>34284.88</v>
      </c>
      <c r="F5" s="38" t="s">
        <v>59</v>
      </c>
    </row>
    <row r="6" spans="2:6" ht="15" customHeight="1">
      <c r="B6" s="2" t="s">
        <v>54</v>
      </c>
      <c r="D6" s="7">
        <v>53749.78</v>
      </c>
      <c r="F6" s="38" t="s">
        <v>60</v>
      </c>
    </row>
    <row r="7" spans="2:16" ht="15" customHeight="1">
      <c r="B7" s="2" t="s">
        <v>55</v>
      </c>
      <c r="D7" s="7">
        <v>1115.2</v>
      </c>
      <c r="P7" s="37"/>
    </row>
    <row r="8" spans="2:4" ht="15" customHeight="1">
      <c r="B8" s="2" t="s">
        <v>56</v>
      </c>
      <c r="D8" s="7">
        <v>11078.36</v>
      </c>
    </row>
    <row r="9" spans="2:4" ht="15" customHeight="1">
      <c r="B9" s="2" t="s">
        <v>57</v>
      </c>
      <c r="D9" s="7">
        <v>39942.57</v>
      </c>
    </row>
    <row r="10" spans="2:4" ht="15" customHeight="1">
      <c r="B10" s="2" t="s">
        <v>58</v>
      </c>
      <c r="D10" s="7">
        <v>36366.65</v>
      </c>
    </row>
    <row r="11" spans="2:4" ht="15" customHeight="1" thickBot="1">
      <c r="B11" s="28" t="s">
        <v>10</v>
      </c>
      <c r="D11" s="27">
        <f>SUM(D5:D10)</f>
        <v>176537.44</v>
      </c>
    </row>
    <row r="12" ht="15" customHeight="1" thickTop="1"/>
    <row r="14" spans="1:16" s="33" customFormat="1" ht="15" customHeight="1">
      <c r="A14" s="36" t="s">
        <v>50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2" ht="15.75">
      <c r="A15" s="1"/>
      <c r="B15" s="1"/>
    </row>
    <row r="16" spans="4:16" ht="15" customHeight="1">
      <c r="D16" s="29" t="s">
        <v>0</v>
      </c>
      <c r="E16" s="30"/>
      <c r="F16" s="29" t="s">
        <v>0</v>
      </c>
      <c r="G16" s="30"/>
      <c r="H16" s="29"/>
      <c r="I16" s="30"/>
      <c r="J16" s="29"/>
      <c r="K16" s="30"/>
      <c r="L16" s="30"/>
      <c r="M16" s="30"/>
      <c r="N16" s="30"/>
      <c r="P16" s="30"/>
    </row>
    <row r="17" spans="1:16" ht="15" customHeight="1">
      <c r="A17" s="3"/>
      <c r="D17" s="29" t="s">
        <v>1</v>
      </c>
      <c r="E17" s="30"/>
      <c r="F17" s="29" t="s">
        <v>2</v>
      </c>
      <c r="G17" s="30"/>
      <c r="H17" s="29"/>
      <c r="I17" s="30"/>
      <c r="J17" s="29" t="s">
        <v>3</v>
      </c>
      <c r="K17" s="30"/>
      <c r="L17" s="29" t="s">
        <v>4</v>
      </c>
      <c r="M17" s="30"/>
      <c r="N17" s="29"/>
      <c r="P17" s="29"/>
    </row>
    <row r="18" spans="1:16" ht="15" customHeight="1">
      <c r="A18" s="3"/>
      <c r="D18" s="31" t="s">
        <v>5</v>
      </c>
      <c r="E18" s="30"/>
      <c r="F18" s="31" t="s">
        <v>6</v>
      </c>
      <c r="G18" s="30"/>
      <c r="H18" s="31" t="s">
        <v>7</v>
      </c>
      <c r="I18" s="30"/>
      <c r="J18" s="31" t="s">
        <v>8</v>
      </c>
      <c r="K18" s="30"/>
      <c r="L18" s="31" t="s">
        <v>9</v>
      </c>
      <c r="M18" s="30"/>
      <c r="N18" s="31" t="s">
        <v>10</v>
      </c>
      <c r="P18" s="31" t="s">
        <v>38</v>
      </c>
    </row>
    <row r="19" spans="1:16" ht="15" customHeight="1">
      <c r="A19" s="3" t="s">
        <v>11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P19" s="15"/>
    </row>
    <row r="20" spans="2:16" ht="15" customHeight="1">
      <c r="B20" s="2" t="s">
        <v>12</v>
      </c>
      <c r="D20" s="4">
        <v>51120</v>
      </c>
      <c r="E20" s="16"/>
      <c r="F20" s="19"/>
      <c r="G20" s="16"/>
      <c r="H20" s="4">
        <v>7500</v>
      </c>
      <c r="I20" s="16"/>
      <c r="J20" s="4">
        <v>0</v>
      </c>
      <c r="K20" s="16"/>
      <c r="L20" s="4">
        <v>55860</v>
      </c>
      <c r="M20" s="17"/>
      <c r="N20" s="5">
        <f>SUM(D20:L20)</f>
        <v>114480</v>
      </c>
      <c r="P20" s="5">
        <f>55860+8700+54720</f>
        <v>119280</v>
      </c>
    </row>
    <row r="21" spans="2:16" ht="15" customHeight="1">
      <c r="B21" s="2" t="s">
        <v>13</v>
      </c>
      <c r="D21" s="6"/>
      <c r="E21" s="6"/>
      <c r="F21" s="6"/>
      <c r="G21" s="6"/>
      <c r="H21" s="6"/>
      <c r="I21" s="6"/>
      <c r="J21" s="6">
        <v>1273.73</v>
      </c>
      <c r="K21" s="6"/>
      <c r="L21" s="6"/>
      <c r="M21" s="7"/>
      <c r="N21" s="7">
        <f>SUM(D21:L21)</f>
        <v>1273.73</v>
      </c>
      <c r="P21" s="7"/>
    </row>
    <row r="22" spans="2:16" ht="15" customHeight="1">
      <c r="B22" s="2" t="s">
        <v>14</v>
      </c>
      <c r="D22" s="6">
        <f>28.06+2495.67</f>
        <v>2523.73</v>
      </c>
      <c r="E22" s="6"/>
      <c r="F22" s="6">
        <v>13683.88</v>
      </c>
      <c r="G22" s="6"/>
      <c r="H22" s="6"/>
      <c r="I22" s="6"/>
      <c r="J22" s="6"/>
      <c r="K22" s="6"/>
      <c r="L22" s="6">
        <v>15.09</v>
      </c>
      <c r="M22" s="7"/>
      <c r="N22" s="7">
        <f>SUM(D22:L22)</f>
        <v>16222.699999999999</v>
      </c>
      <c r="P22" s="7">
        <v>50</v>
      </c>
    </row>
    <row r="23" spans="2:16" ht="15" customHeight="1">
      <c r="B23" s="2" t="s">
        <v>15</v>
      </c>
      <c r="D23" s="8">
        <v>210</v>
      </c>
      <c r="E23" s="6"/>
      <c r="F23" s="8">
        <f>2124+2085.33</f>
        <v>4209.33</v>
      </c>
      <c r="G23" s="6"/>
      <c r="H23" s="8">
        <f>20+200</f>
        <v>220</v>
      </c>
      <c r="I23" s="6"/>
      <c r="J23" s="8"/>
      <c r="K23" s="6"/>
      <c r="L23" s="8">
        <v>2090.75</v>
      </c>
      <c r="M23" s="7"/>
      <c r="N23" s="9">
        <f>SUM(D23:L23)</f>
        <v>6730.08</v>
      </c>
      <c r="P23" s="9">
        <v>2500</v>
      </c>
    </row>
    <row r="24" spans="4:16" ht="15" customHeight="1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P24" s="7"/>
    </row>
    <row r="25" spans="1:16" ht="15" customHeight="1">
      <c r="A25" s="3"/>
      <c r="B25" s="10" t="s">
        <v>16</v>
      </c>
      <c r="D25" s="7">
        <f>SUM(D20:D23)</f>
        <v>53853.73</v>
      </c>
      <c r="E25" s="7"/>
      <c r="F25" s="7">
        <f>SUM(F20:F23)</f>
        <v>17893.21</v>
      </c>
      <c r="G25" s="7"/>
      <c r="H25" s="7">
        <f>SUM(H20:H23)</f>
        <v>7720</v>
      </c>
      <c r="I25" s="7"/>
      <c r="J25" s="7">
        <f>SUM(J20:J23)</f>
        <v>1273.73</v>
      </c>
      <c r="K25" s="7"/>
      <c r="L25" s="7">
        <f>SUM(L20:L23)</f>
        <v>57965.84</v>
      </c>
      <c r="M25" s="7"/>
      <c r="N25" s="7">
        <f>SUM(N20:N23)</f>
        <v>138706.50999999998</v>
      </c>
      <c r="P25" s="7">
        <f>SUM(P20:P23)</f>
        <v>121830</v>
      </c>
    </row>
    <row r="26" spans="4:16" ht="15" customHeight="1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P26" s="7"/>
    </row>
    <row r="27" spans="1:16" ht="15" customHeight="1">
      <c r="A27" s="3" t="s">
        <v>17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P27" s="7"/>
    </row>
    <row r="28" spans="1:16" ht="15" customHeight="1">
      <c r="A28" s="3"/>
      <c r="B28" s="2" t="s">
        <v>18</v>
      </c>
      <c r="D28" s="7">
        <f>130.9</f>
        <v>130.9</v>
      </c>
      <c r="E28" s="7"/>
      <c r="F28" s="7">
        <v>2130</v>
      </c>
      <c r="G28" s="7"/>
      <c r="H28" s="7"/>
      <c r="I28" s="7"/>
      <c r="J28" s="7"/>
      <c r="K28" s="7"/>
      <c r="L28" s="7">
        <v>145.16</v>
      </c>
      <c r="M28" s="7"/>
      <c r="N28" s="7">
        <f aca="true" t="shared" si="0" ref="N28:N48">SUM(D28:L28)</f>
        <v>2406.06</v>
      </c>
      <c r="P28" s="7">
        <f>50+140</f>
        <v>190</v>
      </c>
    </row>
    <row r="29" spans="1:16" ht="15" customHeight="1">
      <c r="A29" s="3"/>
      <c r="B29" s="2" t="s">
        <v>19</v>
      </c>
      <c r="D29" s="7"/>
      <c r="E29" s="7"/>
      <c r="F29" s="7">
        <f>22.48+11772.76+65679.08+282601.13+1752.45+63551.25</f>
        <v>425379.15</v>
      </c>
      <c r="G29" s="7"/>
      <c r="H29" s="7"/>
      <c r="I29" s="7"/>
      <c r="J29" s="7"/>
      <c r="K29" s="7"/>
      <c r="L29" s="7"/>
      <c r="M29" s="7"/>
      <c r="N29" s="7">
        <f t="shared" si="0"/>
        <v>425379.15</v>
      </c>
      <c r="P29" s="7">
        <f>224535+139987+49488</f>
        <v>414010</v>
      </c>
    </row>
    <row r="30" spans="1:16" ht="15" customHeight="1">
      <c r="A30" s="3"/>
      <c r="B30" s="2" t="s">
        <v>20</v>
      </c>
      <c r="D30" s="7"/>
      <c r="E30" s="7"/>
      <c r="F30" s="7">
        <v>-425379</v>
      </c>
      <c r="G30" s="7"/>
      <c r="H30" s="7"/>
      <c r="I30" s="7"/>
      <c r="J30" s="7"/>
      <c r="K30" s="7"/>
      <c r="L30" s="7"/>
      <c r="M30" s="7"/>
      <c r="N30" s="7">
        <f t="shared" si="0"/>
        <v>-425379</v>
      </c>
      <c r="P30" s="7">
        <v>-414010</v>
      </c>
    </row>
    <row r="31" spans="1:16" ht="15" customHeight="1" hidden="1">
      <c r="A31" s="3"/>
      <c r="B31" s="2" t="s">
        <v>21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f t="shared" si="0"/>
        <v>0</v>
      </c>
      <c r="P31" s="7"/>
    </row>
    <row r="32" spans="1:16" ht="15" customHeight="1">
      <c r="A32" s="3"/>
      <c r="B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0"/>
        <v>0</v>
      </c>
      <c r="P32" s="7">
        <f>8000+6000+6000+300+1380</f>
        <v>21680</v>
      </c>
    </row>
    <row r="33" spans="1:16" ht="15" customHeight="1">
      <c r="A33" s="3"/>
      <c r="B33" s="2" t="s">
        <v>22</v>
      </c>
      <c r="D33" s="7"/>
      <c r="E33" s="7"/>
      <c r="F33" s="7"/>
      <c r="G33" s="7"/>
      <c r="H33" s="7"/>
      <c r="I33" s="7"/>
      <c r="J33" s="7"/>
      <c r="K33" s="7"/>
      <c r="L33" s="7">
        <f>394+4012+2481</f>
        <v>6887</v>
      </c>
      <c r="M33" s="7"/>
      <c r="N33" s="7">
        <f t="shared" si="0"/>
        <v>6887</v>
      </c>
      <c r="P33" s="7">
        <f>1200+4012</f>
        <v>5212</v>
      </c>
    </row>
    <row r="34" spans="1:16" ht="15" customHeight="1">
      <c r="A34" s="3"/>
      <c r="B34" s="2" t="s">
        <v>14</v>
      </c>
      <c r="D34" s="7"/>
      <c r="E34" s="7"/>
      <c r="F34" s="7">
        <f>10121.43-37.23</f>
        <v>10084.2</v>
      </c>
      <c r="G34" s="7"/>
      <c r="H34" s="7"/>
      <c r="I34" s="7"/>
      <c r="J34" s="7"/>
      <c r="K34" s="7"/>
      <c r="L34" s="7"/>
      <c r="M34" s="7"/>
      <c r="N34" s="7">
        <f t="shared" si="0"/>
        <v>10084.2</v>
      </c>
      <c r="P34" s="7"/>
    </row>
    <row r="35" spans="1:16" ht="15" customHeight="1">
      <c r="A35" s="3"/>
      <c r="B35" s="2" t="s">
        <v>23</v>
      </c>
      <c r="D35" s="7">
        <f>21.35+69.18-3.99</f>
        <v>86.54</v>
      </c>
      <c r="E35" s="7"/>
      <c r="F35" s="7">
        <f>0.06+583.83</f>
        <v>583.89</v>
      </c>
      <c r="G35" s="7"/>
      <c r="H35" s="7">
        <f>7.42+79.84+7.15</f>
        <v>94.41000000000001</v>
      </c>
      <c r="I35" s="7"/>
      <c r="J35" s="7">
        <v>500</v>
      </c>
      <c r="K35" s="7"/>
      <c r="L35" s="7">
        <v>914.29</v>
      </c>
      <c r="M35" s="7"/>
      <c r="N35" s="7">
        <f t="shared" si="0"/>
        <v>2179.13</v>
      </c>
      <c r="P35" s="7">
        <v>440</v>
      </c>
    </row>
    <row r="36" spans="1:16" ht="15" customHeight="1">
      <c r="A36" s="3"/>
      <c r="B36" s="2" t="s">
        <v>24</v>
      </c>
      <c r="D36" s="7">
        <f>631.99</f>
        <v>631.99</v>
      </c>
      <c r="E36" s="7"/>
      <c r="F36" s="7">
        <v>5.54</v>
      </c>
      <c r="G36" s="7"/>
      <c r="H36" s="7"/>
      <c r="I36" s="7"/>
      <c r="J36" s="7"/>
      <c r="K36" s="7"/>
      <c r="L36" s="7">
        <f>363.08+164.44</f>
        <v>527.52</v>
      </c>
      <c r="M36" s="7"/>
      <c r="N36" s="7">
        <f t="shared" si="0"/>
        <v>1165.05</v>
      </c>
      <c r="P36" s="7">
        <f>800+200+350</f>
        <v>1350</v>
      </c>
    </row>
    <row r="37" spans="1:16" ht="15" customHeight="1">
      <c r="A37" s="3"/>
      <c r="B37" s="2" t="s">
        <v>25</v>
      </c>
      <c r="D37" s="7"/>
      <c r="E37" s="7"/>
      <c r="F37" s="7"/>
      <c r="G37" s="7"/>
      <c r="H37" s="7"/>
      <c r="I37" s="7"/>
      <c r="J37" s="7"/>
      <c r="K37" s="7"/>
      <c r="L37" s="7">
        <v>338.27</v>
      </c>
      <c r="M37" s="7"/>
      <c r="N37" s="7">
        <f t="shared" si="0"/>
        <v>338.27</v>
      </c>
      <c r="P37" s="7">
        <v>1200</v>
      </c>
    </row>
    <row r="38" spans="1:16" ht="15" customHeight="1">
      <c r="A38" s="3"/>
      <c r="B38" s="2" t="s">
        <v>26</v>
      </c>
      <c r="D38" s="7">
        <f>-10.54+5422.12+300+1044.79</f>
        <v>6756.37</v>
      </c>
      <c r="E38" s="7"/>
      <c r="F38" s="7"/>
      <c r="G38" s="7"/>
      <c r="H38" s="7"/>
      <c r="I38" s="7"/>
      <c r="J38" s="7"/>
      <c r="K38" s="7"/>
      <c r="L38" s="7">
        <f>-388.68+146+122.11+470+135.5+2500+2163.18</f>
        <v>5148.11</v>
      </c>
      <c r="M38" s="7"/>
      <c r="N38" s="7">
        <f t="shared" si="0"/>
        <v>11904.48</v>
      </c>
      <c r="P38" s="7">
        <f>6000+1000+500+6800+1160</f>
        <v>15460</v>
      </c>
    </row>
    <row r="39" spans="1:16" ht="15" customHeight="1">
      <c r="A39" s="3"/>
      <c r="B39" s="2" t="s">
        <v>27</v>
      </c>
      <c r="D39" s="7">
        <f>5290.48+2410.18</f>
        <v>7700.66</v>
      </c>
      <c r="E39" s="7"/>
      <c r="F39" s="7"/>
      <c r="G39" s="7"/>
      <c r="H39" s="7">
        <f>94.04+421.49+327.9+2021.41</f>
        <v>2864.84</v>
      </c>
      <c r="I39" s="7"/>
      <c r="J39" s="7">
        <f>2210.34</f>
        <v>2210.34</v>
      </c>
      <c r="K39" s="7"/>
      <c r="L39" s="7"/>
      <c r="M39" s="7"/>
      <c r="N39" s="7">
        <f t="shared" si="0"/>
        <v>12775.84</v>
      </c>
      <c r="P39" s="7">
        <f>1000+1000+5000</f>
        <v>7000</v>
      </c>
    </row>
    <row r="40" spans="1:16" ht="15" customHeight="1">
      <c r="A40" s="3"/>
      <c r="B40" s="2" t="s">
        <v>28</v>
      </c>
      <c r="D40" s="7">
        <f>1200+780+3577.05+125+1113.1-203.29</f>
        <v>6591.86</v>
      </c>
      <c r="E40" s="7"/>
      <c r="F40" s="7">
        <f>350-95.97</f>
        <v>254.03</v>
      </c>
      <c r="G40" s="7"/>
      <c r="H40" s="7"/>
      <c r="I40" s="7"/>
      <c r="J40" s="7">
        <v>8132.8</v>
      </c>
      <c r="K40" s="7"/>
      <c r="L40" s="7">
        <f>220+6400</f>
        <v>6620</v>
      </c>
      <c r="M40" s="7"/>
      <c r="N40" s="7">
        <f t="shared" si="0"/>
        <v>21598.69</v>
      </c>
      <c r="P40" s="7">
        <f>12300+100+6600+500+3600</f>
        <v>23100</v>
      </c>
    </row>
    <row r="41" spans="1:16" ht="15" customHeight="1">
      <c r="A41" s="3"/>
      <c r="B41" s="2" t="s">
        <v>29</v>
      </c>
      <c r="D41" s="7">
        <f>404.88+592.29</f>
        <v>997.17</v>
      </c>
      <c r="E41" s="7"/>
      <c r="F41" s="7">
        <v>43.6</v>
      </c>
      <c r="G41" s="7"/>
      <c r="H41" s="7"/>
      <c r="I41" s="7"/>
      <c r="J41" s="7">
        <f>477.32+3439.08+32.51+22.27+1005.83</f>
        <v>4977.01</v>
      </c>
      <c r="K41" s="7"/>
      <c r="L41" s="7">
        <f>380.82</f>
        <v>380.82</v>
      </c>
      <c r="M41" s="7"/>
      <c r="N41" s="7">
        <f t="shared" si="0"/>
        <v>6398.6</v>
      </c>
      <c r="P41" s="7">
        <f>600+350+60</f>
        <v>1010</v>
      </c>
    </row>
    <row r="42" spans="1:16" ht="15" customHeight="1">
      <c r="A42" s="3"/>
      <c r="B42" s="2" t="s">
        <v>30</v>
      </c>
      <c r="D42" s="7">
        <f>367.5</f>
        <v>367.5</v>
      </c>
      <c r="E42" s="7"/>
      <c r="F42" s="7"/>
      <c r="G42" s="7"/>
      <c r="H42" s="7"/>
      <c r="I42" s="7"/>
      <c r="J42" s="7"/>
      <c r="K42" s="7"/>
      <c r="L42" s="7"/>
      <c r="M42" s="7"/>
      <c r="N42" s="7">
        <f t="shared" si="0"/>
        <v>367.5</v>
      </c>
      <c r="P42" s="7">
        <v>110</v>
      </c>
    </row>
    <row r="43" spans="1:16" ht="15" customHeight="1">
      <c r="A43" s="3"/>
      <c r="B43" s="2" t="s">
        <v>31</v>
      </c>
      <c r="D43" s="7"/>
      <c r="E43" s="7"/>
      <c r="F43" s="7"/>
      <c r="G43" s="7"/>
      <c r="H43" s="7"/>
      <c r="I43" s="7"/>
      <c r="J43" s="14"/>
      <c r="K43" s="7"/>
      <c r="L43" s="7">
        <v>2777.51</v>
      </c>
      <c r="M43" s="7"/>
      <c r="N43" s="7">
        <f t="shared" si="0"/>
        <v>2777.51</v>
      </c>
      <c r="P43" s="7">
        <v>1845</v>
      </c>
    </row>
    <row r="44" spans="1:16" ht="15" customHeight="1">
      <c r="A44" s="3"/>
      <c r="B44" s="2" t="s">
        <v>32</v>
      </c>
      <c r="D44" s="7"/>
      <c r="E44" s="7"/>
      <c r="F44" s="7"/>
      <c r="G44" s="7"/>
      <c r="H44" s="7"/>
      <c r="I44" s="7"/>
      <c r="J44" s="7"/>
      <c r="K44" s="7"/>
      <c r="L44" s="7">
        <f>145.39</f>
        <v>145.39</v>
      </c>
      <c r="M44" s="7"/>
      <c r="N44" s="7">
        <f t="shared" si="0"/>
        <v>145.39</v>
      </c>
      <c r="P44" s="7">
        <f>25</f>
        <v>25</v>
      </c>
    </row>
    <row r="45" spans="1:16" ht="15" customHeight="1">
      <c r="A45" s="3"/>
      <c r="B45" s="2" t="s">
        <v>33</v>
      </c>
      <c r="D45" s="7"/>
      <c r="E45" s="7"/>
      <c r="F45" s="7"/>
      <c r="G45" s="7"/>
      <c r="H45" s="7"/>
      <c r="I45" s="7"/>
      <c r="J45" s="7">
        <f>213.09</f>
        <v>213.09</v>
      </c>
      <c r="K45" s="7"/>
      <c r="L45" s="7">
        <v>11.03</v>
      </c>
      <c r="M45" s="7"/>
      <c r="N45" s="7">
        <f t="shared" si="0"/>
        <v>224.12</v>
      </c>
      <c r="P45" s="7">
        <f>200+300+50</f>
        <v>550</v>
      </c>
    </row>
    <row r="46" spans="1:16" ht="15" customHeight="1">
      <c r="A46" s="3"/>
      <c r="B46" s="2" t="s">
        <v>34</v>
      </c>
      <c r="D46" s="7">
        <f>811.17+22.28</f>
        <v>833.4499999999999</v>
      </c>
      <c r="E46" s="7"/>
      <c r="F46" s="7">
        <f>324.5+700</f>
        <v>1024.5</v>
      </c>
      <c r="G46" s="7"/>
      <c r="H46" s="7"/>
      <c r="I46" s="7"/>
      <c r="J46" s="7"/>
      <c r="K46" s="7"/>
      <c r="L46" s="7">
        <v>302.15</v>
      </c>
      <c r="M46" s="7"/>
      <c r="N46" s="7">
        <f t="shared" si="0"/>
        <v>2160.1</v>
      </c>
      <c r="P46" s="7">
        <f>50+500+100+650</f>
        <v>1300</v>
      </c>
    </row>
    <row r="47" spans="1:16" ht="15" customHeight="1">
      <c r="A47" s="3"/>
      <c r="B47" s="2" t="s">
        <v>35</v>
      </c>
      <c r="D47" s="7">
        <f>4296</f>
        <v>4296</v>
      </c>
      <c r="E47" s="7"/>
      <c r="F47" s="7"/>
      <c r="G47" s="7"/>
      <c r="H47" s="7"/>
      <c r="I47" s="7"/>
      <c r="J47" s="23">
        <f>476.96+1139.73+947.28</f>
        <v>2563.9700000000003</v>
      </c>
      <c r="K47" s="24"/>
      <c r="L47" s="23">
        <f>4420.2</f>
        <v>4420.2</v>
      </c>
      <c r="M47" s="24"/>
      <c r="N47" s="7">
        <f t="shared" si="0"/>
        <v>11280.17</v>
      </c>
      <c r="P47" s="23">
        <f>1500+1200+400+4000+2700</f>
        <v>9800</v>
      </c>
    </row>
    <row r="48" spans="1:16" ht="15" customHeight="1">
      <c r="A48" s="3"/>
      <c r="B48" s="2" t="s">
        <v>49</v>
      </c>
      <c r="D48" s="9"/>
      <c r="E48" s="7"/>
      <c r="F48" s="9"/>
      <c r="G48" s="7"/>
      <c r="H48" s="9"/>
      <c r="I48" s="7"/>
      <c r="J48" s="25"/>
      <c r="K48" s="7"/>
      <c r="L48" s="25"/>
      <c r="N48" s="26">
        <f t="shared" si="0"/>
        <v>0</v>
      </c>
      <c r="P48" s="26">
        <v>31558</v>
      </c>
    </row>
    <row r="49" spans="1:16" ht="15" customHeight="1">
      <c r="A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P49" s="7"/>
    </row>
    <row r="50" spans="2:16" ht="15" customHeight="1">
      <c r="B50" s="11" t="s">
        <v>36</v>
      </c>
      <c r="D50" s="7">
        <f>SUM(D28:D48)</f>
        <v>28392.44</v>
      </c>
      <c r="E50" s="7"/>
      <c r="F50" s="7">
        <f>SUM(F28:F48)</f>
        <v>14125.910000000025</v>
      </c>
      <c r="G50" s="7"/>
      <c r="H50" s="7">
        <f>SUM(H28:H48)</f>
        <v>2959.25</v>
      </c>
      <c r="I50" s="7"/>
      <c r="J50" s="7">
        <f>SUM(J28:J47)</f>
        <v>18597.21</v>
      </c>
      <c r="K50" s="7"/>
      <c r="L50" s="7">
        <f>SUM(L28:L47)</f>
        <v>28617.45</v>
      </c>
      <c r="M50" s="7"/>
      <c r="N50" s="7">
        <f>SUM(N28:N47)</f>
        <v>92692.26000000002</v>
      </c>
      <c r="P50" s="7">
        <f>SUM(P28:P49)</f>
        <v>121830</v>
      </c>
    </row>
    <row r="51" spans="4:16" ht="15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P51" s="17"/>
    </row>
    <row r="52" spans="2:16" ht="15" customHeight="1">
      <c r="B52" s="11" t="s">
        <v>48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P52" s="17"/>
    </row>
    <row r="53" spans="2:16" ht="15" customHeight="1">
      <c r="B53" s="11" t="s">
        <v>47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P53" s="17"/>
    </row>
    <row r="54" spans="2:16" ht="15" customHeight="1" thickBot="1">
      <c r="B54" s="11" t="s">
        <v>37</v>
      </c>
      <c r="D54" s="12">
        <f>D25-D50</f>
        <v>25461.290000000005</v>
      </c>
      <c r="E54" s="18"/>
      <c r="F54" s="12">
        <f>F25-F50</f>
        <v>3767.299999999974</v>
      </c>
      <c r="G54" s="16"/>
      <c r="H54" s="12">
        <f>H25-H50</f>
        <v>4760.75</v>
      </c>
      <c r="I54" s="16"/>
      <c r="J54" s="12">
        <f>J25-J50</f>
        <v>-17323.48</v>
      </c>
      <c r="K54" s="16"/>
      <c r="L54" s="12">
        <f>L25-L50</f>
        <v>29348.389999999996</v>
      </c>
      <c r="M54" s="16"/>
      <c r="N54" s="12">
        <f>N25-N50</f>
        <v>46014.249999999956</v>
      </c>
      <c r="P54" s="12">
        <f>P25-P50</f>
        <v>0</v>
      </c>
    </row>
    <row r="55" spans="4:16" ht="15" customHeight="1" thickTop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P55" s="7"/>
    </row>
    <row r="56" ht="15" customHeight="1">
      <c r="B56" s="40" t="s">
        <v>61</v>
      </c>
    </row>
    <row r="57" spans="10:12" ht="15" customHeight="1">
      <c r="J57" s="13"/>
      <c r="K57" s="13"/>
      <c r="L57" s="13"/>
    </row>
    <row r="58" spans="10:12" ht="15" customHeight="1">
      <c r="J58" s="13"/>
      <c r="K58" s="13"/>
      <c r="L58" s="13"/>
    </row>
  </sheetData>
  <mergeCells count="1">
    <mergeCell ref="A1:P1"/>
  </mergeCells>
  <printOptions horizontalCentered="1"/>
  <pageMargins left="0.4" right="0.4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3">
      <selection activeCell="C35" sqref="C35"/>
    </sheetView>
  </sheetViews>
  <sheetFormatPr defaultColWidth="9.140625" defaultRowHeight="15"/>
  <cols>
    <col min="1" max="1" width="11.140625" style="20" bestFit="1" customWidth="1"/>
    <col min="2" max="2" width="2.28125" style="20" customWidth="1"/>
    <col min="3" max="5" width="10.140625" style="20" bestFit="1" customWidth="1"/>
    <col min="6" max="7" width="11.140625" style="20" bestFit="1" customWidth="1"/>
    <col min="8" max="16384" width="9.00390625" style="20" customWidth="1"/>
  </cols>
  <sheetData>
    <row r="1" spans="1:4" ht="11.25">
      <c r="A1" s="20">
        <v>2500</v>
      </c>
      <c r="C1" s="20">
        <v>8000</v>
      </c>
      <c r="D1" s="20">
        <v>800</v>
      </c>
    </row>
    <row r="2" spans="1:4" ht="11.25">
      <c r="A2" s="20">
        <v>55860</v>
      </c>
      <c r="C2" s="20">
        <v>1000</v>
      </c>
      <c r="D2" s="20">
        <v>1200</v>
      </c>
    </row>
    <row r="3" spans="1:6" ht="11.25">
      <c r="A3" s="20">
        <v>50</v>
      </c>
      <c r="C3" s="20">
        <v>12300</v>
      </c>
      <c r="D3" s="20">
        <v>200</v>
      </c>
      <c r="E3" s="20">
        <v>500</v>
      </c>
      <c r="F3" s="20">
        <v>224535</v>
      </c>
    </row>
    <row r="4" spans="1:6" ht="11.25">
      <c r="A4" s="20">
        <v>8700</v>
      </c>
      <c r="C4" s="20">
        <v>1845</v>
      </c>
      <c r="D4" s="20">
        <v>300</v>
      </c>
      <c r="E4" s="20">
        <v>3600</v>
      </c>
      <c r="F4" s="20">
        <v>139987</v>
      </c>
    </row>
    <row r="5" spans="1:6" ht="11.25">
      <c r="A5" s="20">
        <v>54720</v>
      </c>
      <c r="C5" s="20">
        <v>6000</v>
      </c>
      <c r="D5" s="20">
        <v>110</v>
      </c>
      <c r="E5" s="20">
        <v>6800</v>
      </c>
      <c r="F5" s="20">
        <v>49487</v>
      </c>
    </row>
    <row r="6" spans="3:5" ht="11.25">
      <c r="C6" s="20">
        <v>6000</v>
      </c>
      <c r="D6" s="20">
        <v>500</v>
      </c>
      <c r="E6" s="20">
        <v>350</v>
      </c>
    </row>
    <row r="7" spans="3:5" ht="11.25">
      <c r="C7" s="20">
        <v>850</v>
      </c>
      <c r="D7" s="20">
        <v>6000</v>
      </c>
      <c r="E7" s="20">
        <v>440</v>
      </c>
    </row>
    <row r="8" spans="3:5" ht="11.25">
      <c r="C8" s="20">
        <v>1000</v>
      </c>
      <c r="D8" s="20">
        <v>100</v>
      </c>
      <c r="E8" s="20">
        <v>650</v>
      </c>
    </row>
    <row r="9" spans="3:5" ht="11.25">
      <c r="C9" s="20">
        <v>50</v>
      </c>
      <c r="D9" s="20">
        <v>6600</v>
      </c>
      <c r="E9" s="20">
        <v>1160</v>
      </c>
    </row>
    <row r="10" spans="3:5" ht="11.25">
      <c r="C10" s="20">
        <v>600</v>
      </c>
      <c r="D10" s="20">
        <v>1000</v>
      </c>
      <c r="E10" s="20">
        <v>60</v>
      </c>
    </row>
    <row r="11" spans="3:5" ht="11.25">
      <c r="C11" s="20">
        <v>1500</v>
      </c>
      <c r="D11" s="20">
        <v>50</v>
      </c>
      <c r="E11" s="20">
        <v>5000</v>
      </c>
    </row>
    <row r="12" spans="3:5" ht="11.25">
      <c r="C12" s="20">
        <v>1200</v>
      </c>
      <c r="D12" s="20">
        <v>140</v>
      </c>
      <c r="E12" s="20">
        <v>2700</v>
      </c>
    </row>
    <row r="13" spans="3:5" ht="11.25">
      <c r="C13" s="20">
        <v>400</v>
      </c>
      <c r="D13" s="20">
        <v>1200</v>
      </c>
      <c r="E13" s="20">
        <v>1380</v>
      </c>
    </row>
    <row r="14" ht="11.25">
      <c r="D14" s="20">
        <v>4012</v>
      </c>
    </row>
    <row r="15" ht="11.25">
      <c r="D15" s="20">
        <v>500</v>
      </c>
    </row>
    <row r="16" ht="11.25">
      <c r="D16" s="20">
        <v>100</v>
      </c>
    </row>
    <row r="17" ht="11.25">
      <c r="D17" s="20">
        <v>300</v>
      </c>
    </row>
    <row r="18" ht="11.25">
      <c r="D18" s="20">
        <v>50</v>
      </c>
    </row>
    <row r="19" ht="11.25">
      <c r="D19" s="20">
        <v>200</v>
      </c>
    </row>
    <row r="20" ht="11.25">
      <c r="D20" s="20">
        <v>350</v>
      </c>
    </row>
    <row r="21" ht="11.25">
      <c r="D21" s="20">
        <v>25</v>
      </c>
    </row>
    <row r="22" spans="4:6" ht="11.25">
      <c r="D22" s="20">
        <v>4000</v>
      </c>
      <c r="F22" s="20">
        <v>-414009</v>
      </c>
    </row>
    <row r="24" spans="1:6" ht="12" thickBot="1">
      <c r="A24" s="21">
        <f>SUM(A1:A23)</f>
        <v>121830</v>
      </c>
      <c r="B24" s="21"/>
      <c r="C24" s="21">
        <f>SUM(C1:C23)</f>
        <v>40745</v>
      </c>
      <c r="D24" s="21">
        <f>SUM(D1:D23)</f>
        <v>27737</v>
      </c>
      <c r="E24" s="21">
        <f>SUM(E1:E23)</f>
        <v>22640</v>
      </c>
      <c r="F24" s="21">
        <f>SUM(F1:F23)</f>
        <v>0</v>
      </c>
    </row>
    <row r="25" spans="3:6" ht="12" thickTop="1">
      <c r="C25" s="20">
        <v>-850</v>
      </c>
      <c r="F25" s="22"/>
    </row>
    <row r="26" ht="12" thickBot="1">
      <c r="C26" s="21">
        <f>C24+C25</f>
        <v>39895</v>
      </c>
    </row>
    <row r="27" ht="12" thickTop="1"/>
    <row r="28" spans="5:6" ht="11.25">
      <c r="E28" s="20" t="s">
        <v>43</v>
      </c>
      <c r="F28" s="20">
        <f>A24</f>
        <v>121830</v>
      </c>
    </row>
    <row r="29" spans="5:6" ht="11.25">
      <c r="E29" s="20" t="s">
        <v>46</v>
      </c>
      <c r="F29" s="20">
        <f>-C26</f>
        <v>-39895</v>
      </c>
    </row>
    <row r="30" spans="5:6" ht="11.25">
      <c r="E30" s="20" t="s">
        <v>44</v>
      </c>
      <c r="F30" s="20">
        <f>-D24</f>
        <v>-27737</v>
      </c>
    </row>
    <row r="31" spans="5:6" ht="11.25">
      <c r="E31" s="20" t="s">
        <v>45</v>
      </c>
      <c r="F31" s="20">
        <f>-E24</f>
        <v>-22640</v>
      </c>
    </row>
    <row r="32" spans="5:6" ht="11.25">
      <c r="E32" s="20" t="s">
        <v>42</v>
      </c>
      <c r="F32" s="20">
        <f>SUM(F28:F31)</f>
        <v>31558</v>
      </c>
    </row>
    <row r="33" spans="5:6" ht="12" thickBot="1">
      <c r="E33" s="20" t="s">
        <v>41</v>
      </c>
      <c r="F33" s="21">
        <f>'IS - 2009'!P54</f>
        <v>0</v>
      </c>
    </row>
    <row r="34" spans="5:6" ht="12" thickTop="1">
      <c r="E34" s="20" t="s">
        <v>40</v>
      </c>
      <c r="F34" s="20">
        <f>F32-F33</f>
        <v>31558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MTG Masters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LoriG</dc:creator>
  <cp:keywords/>
  <dc:description/>
  <cp:lastModifiedBy>S. Gary Steinman</cp:lastModifiedBy>
  <cp:lastPrinted>2010-02-16T22:09:20Z</cp:lastPrinted>
  <dcterms:created xsi:type="dcterms:W3CDTF">2010-01-27T15:25:07Z</dcterms:created>
  <dcterms:modified xsi:type="dcterms:W3CDTF">2010-02-17T01:20:02Z</dcterms:modified>
  <cp:category/>
  <cp:version/>
  <cp:contentType/>
  <cp:contentStatus/>
</cp:coreProperties>
</file>